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860" yWindow="12" windowWidth="14892" windowHeight="126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13" i="1" l="1"/>
  <c r="P22" i="1"/>
  <c r="O22" i="1"/>
  <c r="P21" i="1"/>
  <c r="O21" i="1"/>
  <c r="P20" i="1"/>
  <c r="O20" i="1"/>
  <c r="P19" i="1"/>
  <c r="O19" i="1"/>
  <c r="P18" i="1"/>
  <c r="O18" i="1"/>
  <c r="P17" i="1"/>
  <c r="O17" i="1"/>
  <c r="P16" i="1"/>
  <c r="O16" i="1"/>
  <c r="P15" i="1"/>
  <c r="O15" i="1"/>
  <c r="P14" i="1"/>
  <c r="O14" i="1"/>
  <c r="P13" i="1"/>
  <c r="P12" i="1"/>
  <c r="O12" i="1"/>
  <c r="P11" i="1"/>
  <c r="O11" i="1"/>
  <c r="E7" i="1" l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L9" i="1" l="1"/>
  <c r="N9" i="1" s="1"/>
  <c r="L10" i="1"/>
  <c r="N10" i="1" s="1"/>
  <c r="Q10" i="1" l="1"/>
  <c r="Q9" i="1"/>
  <c r="L11" i="1" l="1"/>
  <c r="N11" i="1" s="1"/>
  <c r="L12" i="1"/>
  <c r="N12" i="1" s="1"/>
  <c r="L13" i="1"/>
  <c r="N13" i="1" s="1"/>
  <c r="L14" i="1"/>
  <c r="N14" i="1" s="1"/>
  <c r="L15" i="1"/>
  <c r="N15" i="1" s="1"/>
  <c r="L16" i="1"/>
  <c r="N16" i="1" s="1"/>
  <c r="L17" i="1"/>
  <c r="N17" i="1" s="1"/>
  <c r="L18" i="1"/>
  <c r="N18" i="1" s="1"/>
  <c r="L19" i="1"/>
  <c r="N19" i="1" s="1"/>
  <c r="Q17" i="1" l="1"/>
  <c r="Q11" i="1"/>
  <c r="Q15" i="1"/>
  <c r="Q14" i="1"/>
  <c r="Q19" i="1"/>
  <c r="Q13" i="1"/>
  <c r="Q12" i="1"/>
  <c r="Q18" i="1"/>
  <c r="Q16" i="1"/>
  <c r="L21" i="1"/>
  <c r="N21" i="1" s="1"/>
  <c r="L22" i="1"/>
  <c r="N22" i="1" s="1"/>
  <c r="L20" i="1"/>
  <c r="N20" i="1" s="1"/>
  <c r="Q20" i="1" l="1"/>
  <c r="Q22" i="1"/>
  <c r="Q21" i="1"/>
</calcChain>
</file>

<file path=xl/sharedStrings.xml><?xml version="1.0" encoding="utf-8"?>
<sst xmlns="http://schemas.openxmlformats.org/spreadsheetml/2006/main" count="47" uniqueCount="46">
  <si>
    <t>Наимеование медицинской организации</t>
  </si>
  <si>
    <t>код МО</t>
  </si>
  <si>
    <t>№ строки</t>
  </si>
  <si>
    <t>Коэффициент уровня расходов медицинской организации</t>
  </si>
  <si>
    <t>Коэффициент дифференциации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</si>
  <si>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</t>
  </si>
  <si>
    <t>Коэффициент половозрастного состава</t>
  </si>
  <si>
    <t>Дифференцированный подушевой норматив финансирования амбулаторной медицинской помощи для i-той медицинской организации 
(руб./год)</t>
  </si>
  <si>
    <t>Поправочный коэффициент</t>
  </si>
  <si>
    <t>Фактический дифференцированный подушевой норматив финансирования амбулаторной помощи для i-той медицинской организации 
(руб./год)</t>
  </si>
  <si>
    <t>Амбулаторная помощь</t>
  </si>
  <si>
    <t>Стационарная помощь</t>
  </si>
  <si>
    <t>Дневной стационар</t>
  </si>
  <si>
    <t>Дифференцированный подушевой норматив финансирования для i-той медицинской организации по стационару, руб. в год на одного застрахованного прикрепленного</t>
  </si>
  <si>
    <t>Дифференцированный подушевой норматив финансирования для i-той медицинской организации по дневному стационару, руб. в год на одного застрахованного прикрепленного</t>
  </si>
  <si>
    <t>А</t>
  </si>
  <si>
    <t>КГБУЗ "Центральная районная больница Тугуро-Чумиканского района" МЗ ХК</t>
  </si>
  <si>
    <t>КГБУЗ "Аяно-Майская центральная районная больница" МЗ ХК</t>
  </si>
  <si>
    <t>КГБУЗ "Центральная районная больница Охотского района" МЗ ХК</t>
  </si>
  <si>
    <t xml:space="preserve">Значения дифференцированных подушевых нормативов финансирования на прикрепившихся к медицинской организации лиц по всем видам и условиям предоставляемой медицинской помощи 
</t>
  </si>
  <si>
    <t>Базовый подушевой норматив финансирования АПП</t>
  </si>
  <si>
    <t>Коэффициент дифференциации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</t>
  </si>
  <si>
    <t>Пнбаз</t>
  </si>
  <si>
    <t>Кдурi</t>
  </si>
  <si>
    <t>КДi</t>
  </si>
  <si>
    <t>Кдотi</t>
  </si>
  <si>
    <t>Кдзпi</t>
  </si>
  <si>
    <t>Кдпвi</t>
  </si>
  <si>
    <t>ПК</t>
  </si>
  <si>
    <t>КГБУЗ "Бикинская центральная районная больница" МЗХК</t>
  </si>
  <si>
    <t>КГБУЗ "Вяземская  районная больница" МЗХК</t>
  </si>
  <si>
    <t>КГБУЗ "Районная больница района имени Лазо" МЗХК</t>
  </si>
  <si>
    <t>КГБУЗ "Троицкая центральная районная больница" МЗХК</t>
  </si>
  <si>
    <t>КГБУЗ "Ванинская центральная районная больница" МЗ ХК</t>
  </si>
  <si>
    <t>КГБУЗ "Советско-Гаванская центральная районная больница" МЗ ХК</t>
  </si>
  <si>
    <t>КГБУЗ "Верхнебуреинская центральная районная больница" МЗХК</t>
  </si>
  <si>
    <t>КГБУЗ "Николаевская центральная районная больница" МЗ ХК</t>
  </si>
  <si>
    <t>КГБУЗ "Солнечная центральная районная больница" МЗ ХК</t>
  </si>
  <si>
    <t>к Соглашению о тарифах на оплату медицинской помощи по обязательному медицинскому страхованию на территории Хабаровского края на 2024 год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</si>
  <si>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
(руб./год)
(гр.10 + гр.11 + гр.12)</t>
  </si>
  <si>
    <t xml:space="preserve">Средняя численность застрахованных на январь 2024
(чел.)
</t>
  </si>
  <si>
    <t>КГБУЗ "Хабаровская районная больница" МЗХК</t>
  </si>
  <si>
    <t>КГБУЗ "Князе-Волконская районная больница" МЗХК</t>
  </si>
  <si>
    <t>11 мес</t>
  </si>
  <si>
    <t>12 мес</t>
  </si>
  <si>
    <t>Приложение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</si>
</sst>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0\ _₽_-;\-* #,##0.000\ _₽_-;_-* &quot;-&quot;??\ _₽_-;_-@_-"/>
    <numFmt numFmtId="165" formatCode="_-* #,##0.00000\ _₽_-;\-* #,##0.00000\ _₽_-;_-* &quot;-&quot;??\ _₽_-;_-@_-"/>
    <numFmt numFmtId="166" formatCode="0.000"/>
    <numFmt numFmtId="167" formatCode="0.00000"/>
    <numFmt numFmtId="168" formatCode="_-* #,##0.0000\ _₽_-;\-* #,##0.00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</cellStyleXfs>
  <cellXfs count="60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165" fontId="3" fillId="0" borderId="1" xfId="1" applyNumberFormat="1" applyFont="1" applyBorder="1" applyAlignment="1">
      <alignment wrapText="1"/>
    </xf>
    <xf numFmtId="164" fontId="3" fillId="0" borderId="1" xfId="1" applyNumberFormat="1" applyFont="1" applyBorder="1" applyAlignment="1">
      <alignment wrapText="1"/>
    </xf>
    <xf numFmtId="43" fontId="4" fillId="0" borderId="1" xfId="1" applyFont="1" applyBorder="1" applyAlignment="1">
      <alignment wrapText="1"/>
    </xf>
    <xf numFmtId="43" fontId="4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right"/>
    </xf>
    <xf numFmtId="1" fontId="5" fillId="2" borderId="1" xfId="0" applyNumberFormat="1" applyFont="1" applyFill="1" applyBorder="1" applyAlignment="1">
      <alignment horizontal="right"/>
    </xf>
    <xf numFmtId="0" fontId="5" fillId="2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/>
    <xf numFmtId="0" fontId="5" fillId="0" borderId="2" xfId="2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1" fillId="0" borderId="0" xfId="0" applyFont="1"/>
    <xf numFmtId="43" fontId="3" fillId="0" borderId="1" xfId="1" applyNumberFormat="1" applyFont="1" applyBorder="1" applyAlignment="1">
      <alignment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5" fillId="0" borderId="1" xfId="4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2" fontId="5" fillId="0" borderId="1" xfId="3" applyNumberFormat="1" applyFont="1" applyFill="1" applyBorder="1" applyAlignment="1">
      <alignment vertical="center" wrapText="1"/>
    </xf>
    <xf numFmtId="2" fontId="3" fillId="0" borderId="1" xfId="1" applyNumberFormat="1" applyFont="1" applyBorder="1" applyAlignment="1">
      <alignment wrapText="1"/>
    </xf>
    <xf numFmtId="166" fontId="5" fillId="0" borderId="1" xfId="2" applyNumberFormat="1" applyFont="1" applyFill="1" applyBorder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wrapText="1"/>
    </xf>
    <xf numFmtId="3" fontId="5" fillId="0" borderId="2" xfId="0" applyNumberFormat="1" applyFont="1" applyFill="1" applyBorder="1" applyAlignment="1">
      <alignment horizontal="right"/>
    </xf>
    <xf numFmtId="3" fontId="5" fillId="2" borderId="2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8" fillId="0" borderId="1" xfId="3" applyFont="1" applyFill="1" applyBorder="1" applyAlignment="1">
      <alignment wrapText="1"/>
    </xf>
    <xf numFmtId="2" fontId="5" fillId="0" borderId="2" xfId="2" applyNumberFormat="1" applyFont="1" applyFill="1" applyBorder="1" applyAlignment="1">
      <alignment horizontal="center" vertical="center" wrapText="1"/>
    </xf>
    <xf numFmtId="167" fontId="5" fillId="0" borderId="1" xfId="3" applyNumberFormat="1" applyFont="1" applyFill="1" applyBorder="1" applyAlignment="1">
      <alignment horizontal="center" vertical="center" wrapText="1"/>
    </xf>
    <xf numFmtId="167" fontId="5" fillId="0" borderId="2" xfId="2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68" fontId="3" fillId="0" borderId="1" xfId="1" applyNumberFormat="1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/>
    <xf numFmtId="43" fontId="4" fillId="0" borderId="1" xfId="1" applyFont="1" applyFill="1" applyBorder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</cellXfs>
  <cellStyles count="5">
    <cellStyle name="Обычный" xfId="0" builtinId="0"/>
    <cellStyle name="Обычный 3" xfId="2"/>
    <cellStyle name="Обычный 3 2" xfId="3"/>
    <cellStyle name="Обычный_Таблицы Мун.заказ Стационар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414295</xdr:colOff>
      <xdr:row>7</xdr:row>
      <xdr:rowOff>41622</xdr:rowOff>
    </xdr:from>
    <xdr:to>
      <xdr:col>11</xdr:col>
      <xdr:colOff>746760</xdr:colOff>
      <xdr:row>7</xdr:row>
      <xdr:rowOff>293384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7595" y="5080347"/>
          <a:ext cx="332465" cy="2422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100853</xdr:colOff>
      <xdr:row>7</xdr:row>
      <xdr:rowOff>52970</xdr:rowOff>
    </xdr:from>
    <xdr:to>
      <xdr:col>13</xdr:col>
      <xdr:colOff>806824</xdr:colOff>
      <xdr:row>7</xdr:row>
      <xdr:rowOff>196663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90529" y="6048117"/>
          <a:ext cx="705971" cy="143693"/>
        </a:xfrm>
        <a:prstGeom prst="rect">
          <a:avLst/>
        </a:prstGeom>
      </xdr:spPr>
    </xdr:pic>
    <xdr:clientData/>
  </xdr:twoCellAnchor>
  <xdr:twoCellAnchor editAs="oneCell">
    <xdr:from>
      <xdr:col>14</xdr:col>
      <xdr:colOff>280146</xdr:colOff>
      <xdr:row>7</xdr:row>
      <xdr:rowOff>56029</xdr:rowOff>
    </xdr:from>
    <xdr:to>
      <xdr:col>14</xdr:col>
      <xdr:colOff>914399</xdr:colOff>
      <xdr:row>7</xdr:row>
      <xdr:rowOff>207985</xdr:rowOff>
    </xdr:to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3528" y="6051176"/>
          <a:ext cx="634253" cy="151956"/>
        </a:xfrm>
        <a:prstGeom prst="rect">
          <a:avLst/>
        </a:prstGeom>
      </xdr:spPr>
    </xdr:pic>
    <xdr:clientData/>
  </xdr:twoCellAnchor>
  <xdr:twoCellAnchor editAs="oneCell">
    <xdr:from>
      <xdr:col>15</xdr:col>
      <xdr:colOff>235322</xdr:colOff>
      <xdr:row>7</xdr:row>
      <xdr:rowOff>56031</xdr:rowOff>
    </xdr:from>
    <xdr:to>
      <xdr:col>15</xdr:col>
      <xdr:colOff>890306</xdr:colOff>
      <xdr:row>7</xdr:row>
      <xdr:rowOff>224841</xdr:rowOff>
    </xdr:to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98087" y="6051178"/>
          <a:ext cx="654984" cy="168810"/>
        </a:xfrm>
        <a:prstGeom prst="rect">
          <a:avLst/>
        </a:prstGeom>
      </xdr:spPr>
    </xdr:pic>
    <xdr:clientData/>
  </xdr:twoCellAnchor>
  <xdr:twoCellAnchor editAs="oneCell">
    <xdr:from>
      <xdr:col>16</xdr:col>
      <xdr:colOff>168087</xdr:colOff>
      <xdr:row>7</xdr:row>
      <xdr:rowOff>44827</xdr:rowOff>
    </xdr:from>
    <xdr:to>
      <xdr:col>16</xdr:col>
      <xdr:colOff>930648</xdr:colOff>
      <xdr:row>7</xdr:row>
      <xdr:rowOff>213535</xdr:rowOff>
    </xdr:to>
    <xdr:pic>
      <xdr:nvPicPr>
        <xdr:cNvPr id="10" name="Рисунок 9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4205" y="6039974"/>
          <a:ext cx="762561" cy="1687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tabSelected="1" topLeftCell="E1" zoomScale="85" zoomScaleNormal="85" workbookViewId="0">
      <selection activeCell="R1" sqref="R1:T1048576"/>
    </sheetView>
  </sheetViews>
  <sheetFormatPr defaultColWidth="9.109375" defaultRowHeight="13.8" x14ac:dyDescent="0.25"/>
  <cols>
    <col min="1" max="1" width="6.5546875" style="1" customWidth="1"/>
    <col min="2" max="2" width="7.88671875" style="1" hidden="1" customWidth="1"/>
    <col min="3" max="3" width="10.88671875" style="1" hidden="1" customWidth="1"/>
    <col min="4" max="4" width="43.5546875" style="1" customWidth="1"/>
    <col min="5" max="5" width="11.5546875" style="1" customWidth="1"/>
    <col min="6" max="6" width="11" style="1" customWidth="1"/>
    <col min="7" max="7" width="10.33203125" style="1" customWidth="1"/>
    <col min="8" max="8" width="9.6640625" style="1" bestFit="1" customWidth="1"/>
    <col min="9" max="9" width="16" style="1" customWidth="1"/>
    <col min="10" max="10" width="14.6640625" style="1" customWidth="1"/>
    <col min="11" max="11" width="13.6640625" style="1" customWidth="1"/>
    <col min="12" max="12" width="15.33203125" style="1" customWidth="1"/>
    <col min="13" max="13" width="13.6640625" style="1" customWidth="1"/>
    <col min="14" max="14" width="15.33203125" style="28" customWidth="1"/>
    <col min="15" max="15" width="16.5546875" style="1" customWidth="1"/>
    <col min="16" max="16" width="15.88671875" style="1" customWidth="1"/>
    <col min="17" max="17" width="16.5546875" style="1" customWidth="1"/>
    <col min="18" max="16384" width="9.109375" style="1"/>
  </cols>
  <sheetData>
    <row r="1" spans="1:18" s="20" customFormat="1" ht="20.25" customHeight="1" x14ac:dyDescent="0.3">
      <c r="A1" s="16"/>
      <c r="B1" s="16"/>
      <c r="C1" s="16"/>
      <c r="D1" s="17"/>
      <c r="E1" s="18"/>
      <c r="F1" s="16"/>
      <c r="G1" s="19"/>
      <c r="H1" s="55" t="s">
        <v>45</v>
      </c>
      <c r="I1" s="55"/>
      <c r="J1" s="55"/>
      <c r="K1" s="55"/>
      <c r="L1" s="55"/>
      <c r="M1" s="55"/>
      <c r="N1" s="55"/>
      <c r="O1" s="55"/>
      <c r="P1" s="55"/>
      <c r="Q1" s="55"/>
    </row>
    <row r="2" spans="1:18" s="20" customFormat="1" ht="26.25" customHeight="1" x14ac:dyDescent="0.3">
      <c r="A2" s="16"/>
      <c r="B2" s="16"/>
      <c r="C2" s="16"/>
      <c r="D2" s="17"/>
      <c r="E2" s="18"/>
      <c r="F2" s="16"/>
      <c r="G2" s="56" t="s">
        <v>38</v>
      </c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18" x14ac:dyDescent="0.25">
      <c r="A3" s="57" t="s">
        <v>19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</row>
    <row r="5" spans="1:18" ht="27.6" x14ac:dyDescent="0.25">
      <c r="A5" s="58" t="s">
        <v>2</v>
      </c>
      <c r="B5" s="41" t="s">
        <v>1</v>
      </c>
      <c r="C5" s="41" t="s">
        <v>1</v>
      </c>
      <c r="D5" s="58" t="s">
        <v>0</v>
      </c>
      <c r="E5" s="31"/>
      <c r="F5" s="59" t="s">
        <v>10</v>
      </c>
      <c r="G5" s="59"/>
      <c r="H5" s="59"/>
      <c r="I5" s="59"/>
      <c r="J5" s="59"/>
      <c r="K5" s="59"/>
      <c r="L5" s="59"/>
      <c r="M5" s="59"/>
      <c r="N5" s="59"/>
      <c r="O5" s="3" t="s">
        <v>11</v>
      </c>
      <c r="P5" s="3" t="s">
        <v>12</v>
      </c>
      <c r="Q5" s="58" t="s">
        <v>39</v>
      </c>
    </row>
    <row r="6" spans="1:18" s="2" customFormat="1" ht="289.2" customHeight="1" x14ac:dyDescent="0.3">
      <c r="A6" s="58"/>
      <c r="B6" s="41"/>
      <c r="C6" s="41"/>
      <c r="D6" s="58"/>
      <c r="E6" s="37" t="s">
        <v>40</v>
      </c>
      <c r="F6" s="3" t="s">
        <v>20</v>
      </c>
      <c r="G6" s="3" t="s">
        <v>3</v>
      </c>
      <c r="H6" s="3" t="s">
        <v>4</v>
      </c>
      <c r="I6" s="3" t="s">
        <v>21</v>
      </c>
      <c r="J6" s="3" t="s">
        <v>5</v>
      </c>
      <c r="K6" s="3" t="s">
        <v>6</v>
      </c>
      <c r="L6" s="3" t="s">
        <v>7</v>
      </c>
      <c r="M6" s="3" t="s">
        <v>8</v>
      </c>
      <c r="N6" s="51" t="s">
        <v>9</v>
      </c>
      <c r="O6" s="3" t="s">
        <v>13</v>
      </c>
      <c r="P6" s="3" t="s">
        <v>14</v>
      </c>
      <c r="Q6" s="58"/>
    </row>
    <row r="7" spans="1:18" x14ac:dyDescent="0.25">
      <c r="A7" s="9" t="s">
        <v>15</v>
      </c>
      <c r="B7" s="42"/>
      <c r="C7" s="42"/>
      <c r="D7" s="9">
        <v>1</v>
      </c>
      <c r="E7" s="32">
        <f>D7+1</f>
        <v>2</v>
      </c>
      <c r="F7" s="49">
        <f t="shared" ref="F7:Q7" si="0">E7+1</f>
        <v>3</v>
      </c>
      <c r="G7" s="49">
        <f t="shared" si="0"/>
        <v>4</v>
      </c>
      <c r="H7" s="49">
        <f t="shared" si="0"/>
        <v>5</v>
      </c>
      <c r="I7" s="49">
        <f t="shared" si="0"/>
        <v>6</v>
      </c>
      <c r="J7" s="49">
        <f t="shared" si="0"/>
        <v>7</v>
      </c>
      <c r="K7" s="49">
        <f t="shared" si="0"/>
        <v>8</v>
      </c>
      <c r="L7" s="49">
        <f t="shared" si="0"/>
        <v>9</v>
      </c>
      <c r="M7" s="49">
        <f t="shared" si="0"/>
        <v>10</v>
      </c>
      <c r="N7" s="52">
        <f t="shared" si="0"/>
        <v>11</v>
      </c>
      <c r="O7" s="49">
        <f t="shared" si="0"/>
        <v>12</v>
      </c>
      <c r="P7" s="49">
        <f t="shared" si="0"/>
        <v>13</v>
      </c>
      <c r="Q7" s="49">
        <f t="shared" si="0"/>
        <v>14</v>
      </c>
    </row>
    <row r="8" spans="1:18" ht="21" customHeight="1" x14ac:dyDescent="0.3">
      <c r="A8" s="15"/>
      <c r="B8" s="42"/>
      <c r="C8" s="42"/>
      <c r="D8" s="15"/>
      <c r="E8" s="36"/>
      <c r="F8" s="21" t="s">
        <v>22</v>
      </c>
      <c r="G8" s="22" t="s">
        <v>23</v>
      </c>
      <c r="H8" s="25" t="s">
        <v>24</v>
      </c>
      <c r="I8" s="26" t="s">
        <v>25</v>
      </c>
      <c r="J8" s="27" t="s">
        <v>26</v>
      </c>
      <c r="K8" s="6" t="s">
        <v>27</v>
      </c>
      <c r="L8" s="23"/>
      <c r="M8" s="21" t="s">
        <v>28</v>
      </c>
      <c r="N8" s="53"/>
      <c r="O8" s="14"/>
      <c r="P8" s="14"/>
      <c r="Q8" s="14"/>
    </row>
    <row r="9" spans="1:18" ht="34.200000000000003" hidden="1" customHeight="1" x14ac:dyDescent="0.25">
      <c r="A9" s="44"/>
      <c r="B9" s="44"/>
      <c r="C9" s="4">
        <v>1340004</v>
      </c>
      <c r="D9" s="45" t="s">
        <v>41</v>
      </c>
      <c r="E9" s="38">
        <v>56463</v>
      </c>
      <c r="F9" s="46">
        <v>2306</v>
      </c>
      <c r="G9" s="47">
        <v>1</v>
      </c>
      <c r="H9" s="33">
        <v>1.4</v>
      </c>
      <c r="I9" s="6">
        <v>1.087</v>
      </c>
      <c r="J9" s="35">
        <v>1</v>
      </c>
      <c r="K9" s="6">
        <v>1.1299999999999999</v>
      </c>
      <c r="L9" s="24">
        <f t="shared" ref="L9:L19" si="1">ROUND(F9*G9*H9*I9*J9*K9,2)</f>
        <v>3965.48</v>
      </c>
      <c r="M9" s="48">
        <v>1</v>
      </c>
      <c r="N9" s="54">
        <f t="shared" ref="N9:N10" si="2">ROUND(L9*M9,2)</f>
        <v>3965.48</v>
      </c>
      <c r="O9" s="43"/>
      <c r="P9" s="43"/>
      <c r="Q9" s="8">
        <f t="shared" ref="Q9:Q10" si="3">N9+O9+P9</f>
        <v>3965.48</v>
      </c>
      <c r="R9" s="1" t="s">
        <v>43</v>
      </c>
    </row>
    <row r="10" spans="1:18" ht="36" hidden="1" customHeight="1" x14ac:dyDescent="0.25">
      <c r="A10" s="44"/>
      <c r="B10" s="44"/>
      <c r="C10" s="4">
        <v>1343005</v>
      </c>
      <c r="D10" s="45" t="s">
        <v>42</v>
      </c>
      <c r="E10" s="38">
        <v>11636</v>
      </c>
      <c r="F10" s="46">
        <v>2306</v>
      </c>
      <c r="G10" s="47">
        <v>1</v>
      </c>
      <c r="H10" s="33">
        <v>1.4</v>
      </c>
      <c r="I10" s="6">
        <v>1.113</v>
      </c>
      <c r="J10" s="35">
        <v>1</v>
      </c>
      <c r="K10" s="6">
        <v>1.1499999999999999</v>
      </c>
      <c r="L10" s="24">
        <f t="shared" si="1"/>
        <v>4132.1899999999996</v>
      </c>
      <c r="M10" s="48">
        <v>1</v>
      </c>
      <c r="N10" s="54">
        <f t="shared" si="2"/>
        <v>4132.1899999999996</v>
      </c>
      <c r="O10" s="43"/>
      <c r="P10" s="43"/>
      <c r="Q10" s="8">
        <f t="shared" si="3"/>
        <v>4132.1899999999996</v>
      </c>
      <c r="R10" s="1" t="s">
        <v>44</v>
      </c>
    </row>
    <row r="11" spans="1:18" s="28" customFormat="1" ht="33.6" customHeight="1" x14ac:dyDescent="0.25">
      <c r="A11" s="30">
        <v>1</v>
      </c>
      <c r="B11" s="30">
        <v>270155</v>
      </c>
      <c r="C11" s="30">
        <v>1343001</v>
      </c>
      <c r="D11" s="29" t="s">
        <v>29</v>
      </c>
      <c r="E11" s="38">
        <v>17771</v>
      </c>
      <c r="F11" s="46">
        <v>2306</v>
      </c>
      <c r="G11" s="50">
        <v>1.25</v>
      </c>
      <c r="H11" s="33">
        <v>1.4</v>
      </c>
      <c r="I11" s="6">
        <v>1.113</v>
      </c>
      <c r="J11" s="35">
        <v>1</v>
      </c>
      <c r="K11" s="6">
        <v>1.1200000000000001</v>
      </c>
      <c r="L11" s="24">
        <f t="shared" si="1"/>
        <v>5030.49</v>
      </c>
      <c r="M11" s="5">
        <v>1</v>
      </c>
      <c r="N11" s="54">
        <f>ROUND(L11*M11,2)</f>
        <v>5030.49</v>
      </c>
      <c r="O11" s="7">
        <f>ROUND(87009082.72/E11,2)</f>
        <v>4896.13</v>
      </c>
      <c r="P11" s="7">
        <f>ROUND(15816423.93/E11,2)</f>
        <v>890.01</v>
      </c>
      <c r="Q11" s="8">
        <f>N11+O11+P11</f>
        <v>10816.63</v>
      </c>
    </row>
    <row r="12" spans="1:18" s="28" customFormat="1" ht="25.95" customHeight="1" x14ac:dyDescent="0.25">
      <c r="A12" s="30">
        <v>2</v>
      </c>
      <c r="B12" s="30">
        <v>270168</v>
      </c>
      <c r="C12" s="30">
        <v>1343002</v>
      </c>
      <c r="D12" s="30" t="s">
        <v>30</v>
      </c>
      <c r="E12" s="38">
        <v>19672</v>
      </c>
      <c r="F12" s="46">
        <v>2306</v>
      </c>
      <c r="G12" s="50">
        <v>1.25</v>
      </c>
      <c r="H12" s="33">
        <v>1.4</v>
      </c>
      <c r="I12" s="6">
        <v>1.113</v>
      </c>
      <c r="J12" s="35">
        <v>1</v>
      </c>
      <c r="K12" s="6">
        <v>1.1200000000000001</v>
      </c>
      <c r="L12" s="24">
        <f t="shared" si="1"/>
        <v>5030.49</v>
      </c>
      <c r="M12" s="5">
        <v>1</v>
      </c>
      <c r="N12" s="54">
        <f t="shared" ref="N12:N19" si="4">ROUND(L12*M12,2)</f>
        <v>5030.49</v>
      </c>
      <c r="O12" s="7">
        <f>ROUND(69610114.07/E12,2)</f>
        <v>3538.54</v>
      </c>
      <c r="P12" s="7">
        <f>ROUND(23582790.93/E12,2)</f>
        <v>1198.8</v>
      </c>
      <c r="Q12" s="8">
        <f t="shared" ref="Q12:Q18" si="5">N12+O12+P12</f>
        <v>9767.8299999999981</v>
      </c>
    </row>
    <row r="13" spans="1:18" s="28" customFormat="1" ht="33.6" customHeight="1" x14ac:dyDescent="0.25">
      <c r="A13" s="30">
        <v>3</v>
      </c>
      <c r="B13" s="30">
        <v>270169</v>
      </c>
      <c r="C13" s="30">
        <v>1343303</v>
      </c>
      <c r="D13" s="29" t="s">
        <v>31</v>
      </c>
      <c r="E13" s="38">
        <v>41011</v>
      </c>
      <c r="F13" s="46">
        <v>2306</v>
      </c>
      <c r="G13" s="50">
        <v>1.25</v>
      </c>
      <c r="H13" s="33">
        <v>1.4</v>
      </c>
      <c r="I13" s="6">
        <v>1.113</v>
      </c>
      <c r="J13" s="35">
        <v>1</v>
      </c>
      <c r="K13" s="6">
        <v>1.1000000000000001</v>
      </c>
      <c r="L13" s="24">
        <f t="shared" si="1"/>
        <v>4940.66</v>
      </c>
      <c r="M13" s="5">
        <v>1</v>
      </c>
      <c r="N13" s="54">
        <f t="shared" si="4"/>
        <v>4940.66</v>
      </c>
      <c r="O13" s="7">
        <f>ROUND(251098578.36/E13,2)</f>
        <v>6122.71</v>
      </c>
      <c r="P13" s="7">
        <f>ROUND(128662159.85/E13,2)</f>
        <v>3137.26</v>
      </c>
      <c r="Q13" s="8">
        <f t="shared" si="5"/>
        <v>14200.63</v>
      </c>
    </row>
    <row r="14" spans="1:18" s="28" customFormat="1" ht="33" customHeight="1" x14ac:dyDescent="0.25">
      <c r="A14" s="30">
        <v>4</v>
      </c>
      <c r="B14" s="30">
        <v>270087</v>
      </c>
      <c r="C14" s="30">
        <v>1340011</v>
      </c>
      <c r="D14" s="30" t="s">
        <v>32</v>
      </c>
      <c r="E14" s="38">
        <v>14003</v>
      </c>
      <c r="F14" s="46">
        <v>2306</v>
      </c>
      <c r="G14" s="50">
        <v>1.25</v>
      </c>
      <c r="H14" s="33">
        <v>1.4</v>
      </c>
      <c r="I14" s="6">
        <v>1.113</v>
      </c>
      <c r="J14" s="35">
        <v>1</v>
      </c>
      <c r="K14" s="6">
        <v>1.1399999999999999</v>
      </c>
      <c r="L14" s="24">
        <f t="shared" si="1"/>
        <v>5120.32</v>
      </c>
      <c r="M14" s="5">
        <v>1</v>
      </c>
      <c r="N14" s="54">
        <f t="shared" si="4"/>
        <v>5120.32</v>
      </c>
      <c r="O14" s="7">
        <f>ROUND(100163857.92/E14,2)</f>
        <v>7153.03</v>
      </c>
      <c r="P14" s="7">
        <f>ROUND(32568349.77/E14,2)</f>
        <v>2325.81</v>
      </c>
      <c r="Q14" s="8">
        <f t="shared" si="5"/>
        <v>14599.159999999998</v>
      </c>
    </row>
    <row r="15" spans="1:18" s="28" customFormat="1" ht="32.4" customHeight="1" x14ac:dyDescent="0.25">
      <c r="A15" s="30">
        <v>5</v>
      </c>
      <c r="B15" s="30">
        <v>270068</v>
      </c>
      <c r="C15" s="30">
        <v>1340006</v>
      </c>
      <c r="D15" s="30" t="s">
        <v>33</v>
      </c>
      <c r="E15" s="38">
        <v>20776</v>
      </c>
      <c r="F15" s="46">
        <v>2306</v>
      </c>
      <c r="G15" s="50">
        <v>1.35</v>
      </c>
      <c r="H15" s="33">
        <v>1.68</v>
      </c>
      <c r="I15" s="6">
        <v>1.113</v>
      </c>
      <c r="J15" s="35">
        <v>1</v>
      </c>
      <c r="K15" s="6">
        <v>1.1499999999999999</v>
      </c>
      <c r="L15" s="24">
        <f t="shared" si="1"/>
        <v>6694.15</v>
      </c>
      <c r="M15" s="5">
        <v>1</v>
      </c>
      <c r="N15" s="54">
        <f t="shared" si="4"/>
        <v>6694.15</v>
      </c>
      <c r="O15" s="7">
        <f>ROUND(114017809.82/E15,2)</f>
        <v>5487.96</v>
      </c>
      <c r="P15" s="7">
        <f>ROUND(19740554.79/E15,2)</f>
        <v>950.16</v>
      </c>
      <c r="Q15" s="8">
        <f t="shared" si="5"/>
        <v>13132.27</v>
      </c>
    </row>
    <row r="16" spans="1:18" s="28" customFormat="1" ht="36" customHeight="1" x14ac:dyDescent="0.25">
      <c r="A16" s="30">
        <v>6</v>
      </c>
      <c r="B16" s="30">
        <v>270091</v>
      </c>
      <c r="C16" s="30">
        <v>1340007</v>
      </c>
      <c r="D16" s="30" t="s">
        <v>34</v>
      </c>
      <c r="E16" s="38">
        <v>31013</v>
      </c>
      <c r="F16" s="46">
        <v>2306</v>
      </c>
      <c r="G16" s="50">
        <v>1.35</v>
      </c>
      <c r="H16" s="33">
        <v>1.68</v>
      </c>
      <c r="I16" s="6">
        <v>1.113</v>
      </c>
      <c r="J16" s="35">
        <v>1</v>
      </c>
      <c r="K16" s="6">
        <v>1.08</v>
      </c>
      <c r="L16" s="24">
        <f t="shared" si="1"/>
        <v>6286.68</v>
      </c>
      <c r="M16" s="5">
        <v>1</v>
      </c>
      <c r="N16" s="54">
        <f t="shared" si="4"/>
        <v>6286.68</v>
      </c>
      <c r="O16" s="7">
        <f>ROUND(208167518.33/E16,2)</f>
        <v>6712.27</v>
      </c>
      <c r="P16" s="7">
        <f>ROUND(28850390.37/E16,2)</f>
        <v>930.27</v>
      </c>
      <c r="Q16" s="8">
        <f t="shared" si="5"/>
        <v>13929.220000000001</v>
      </c>
    </row>
    <row r="17" spans="1:17" s="28" customFormat="1" ht="37.950000000000003" customHeight="1" x14ac:dyDescent="0.25">
      <c r="A17" s="30">
        <v>7</v>
      </c>
      <c r="B17" s="30">
        <v>270156</v>
      </c>
      <c r="C17" s="30">
        <v>1343008</v>
      </c>
      <c r="D17" s="30" t="s">
        <v>35</v>
      </c>
      <c r="E17" s="38">
        <v>15968</v>
      </c>
      <c r="F17" s="46">
        <v>2306</v>
      </c>
      <c r="G17" s="50">
        <v>1.35</v>
      </c>
      <c r="H17" s="33">
        <v>1.68</v>
      </c>
      <c r="I17" s="6">
        <v>1.113</v>
      </c>
      <c r="J17" s="35">
        <v>1</v>
      </c>
      <c r="K17" s="6">
        <v>1.07</v>
      </c>
      <c r="L17" s="24">
        <f t="shared" si="1"/>
        <v>6228.47</v>
      </c>
      <c r="M17" s="5">
        <v>1</v>
      </c>
      <c r="N17" s="54">
        <f t="shared" si="4"/>
        <v>6228.47</v>
      </c>
      <c r="O17" s="7">
        <f>ROUND(88088117.46/E17,2)</f>
        <v>5516.54</v>
      </c>
      <c r="P17" s="7">
        <f>ROUND(23501188.42/E17,2)</f>
        <v>1471.77</v>
      </c>
      <c r="Q17" s="8">
        <f t="shared" si="5"/>
        <v>13216.78</v>
      </c>
    </row>
    <row r="18" spans="1:17" s="28" customFormat="1" ht="36.6" customHeight="1" x14ac:dyDescent="0.25">
      <c r="A18" s="30">
        <v>8</v>
      </c>
      <c r="B18" s="30">
        <v>270088</v>
      </c>
      <c r="C18" s="30">
        <v>1340010</v>
      </c>
      <c r="D18" s="30" t="s">
        <v>36</v>
      </c>
      <c r="E18" s="38">
        <v>25091</v>
      </c>
      <c r="F18" s="46">
        <v>2306</v>
      </c>
      <c r="G18" s="50">
        <v>1.35</v>
      </c>
      <c r="H18" s="33">
        <v>1.68</v>
      </c>
      <c r="I18" s="6">
        <v>1.0509999999999999</v>
      </c>
      <c r="J18" s="35">
        <v>1</v>
      </c>
      <c r="K18" s="6">
        <v>1.0900000000000001</v>
      </c>
      <c r="L18" s="24">
        <f t="shared" si="1"/>
        <v>5991.44</v>
      </c>
      <c r="M18" s="5">
        <v>1</v>
      </c>
      <c r="N18" s="54">
        <f t="shared" si="4"/>
        <v>5991.44</v>
      </c>
      <c r="O18" s="7">
        <f>ROUND(262334671.87/E18,2)</f>
        <v>10455.33</v>
      </c>
      <c r="P18" s="7">
        <f>ROUND(35153956.44/E18,2)</f>
        <v>1401.06</v>
      </c>
      <c r="Q18" s="8">
        <f t="shared" si="5"/>
        <v>17847.830000000002</v>
      </c>
    </row>
    <row r="19" spans="1:17" s="28" customFormat="1" ht="36.6" customHeight="1" x14ac:dyDescent="0.25">
      <c r="A19" s="30">
        <v>9</v>
      </c>
      <c r="B19" s="30">
        <v>270170</v>
      </c>
      <c r="C19" s="30">
        <v>1343004</v>
      </c>
      <c r="D19" s="30" t="s">
        <v>37</v>
      </c>
      <c r="E19" s="38">
        <v>25625</v>
      </c>
      <c r="F19" s="46">
        <v>2306</v>
      </c>
      <c r="G19" s="50">
        <v>1.35</v>
      </c>
      <c r="H19" s="33">
        <v>1.68</v>
      </c>
      <c r="I19" s="6">
        <v>1.113</v>
      </c>
      <c r="J19" s="35">
        <v>1</v>
      </c>
      <c r="K19" s="6">
        <v>1.0900000000000001</v>
      </c>
      <c r="L19" s="24">
        <f t="shared" si="1"/>
        <v>6344.89</v>
      </c>
      <c r="M19" s="5">
        <v>1</v>
      </c>
      <c r="N19" s="54">
        <f t="shared" si="4"/>
        <v>6344.89</v>
      </c>
      <c r="O19" s="7">
        <f>ROUND(148916721.3/E19,2)</f>
        <v>5811.38</v>
      </c>
      <c r="P19" s="7">
        <f>ROUND(14574510.9/E19,2)</f>
        <v>568.76</v>
      </c>
      <c r="Q19" s="8">
        <f>N19+O19+P19</f>
        <v>12725.03</v>
      </c>
    </row>
    <row r="20" spans="1:17" ht="39.6" customHeight="1" x14ac:dyDescent="0.25">
      <c r="A20" s="30">
        <v>10</v>
      </c>
      <c r="B20" s="10">
        <v>270095</v>
      </c>
      <c r="C20" s="11">
        <v>1340003</v>
      </c>
      <c r="D20" s="4" t="s">
        <v>16</v>
      </c>
      <c r="E20" s="39">
        <v>1742</v>
      </c>
      <c r="F20" s="46">
        <v>2306</v>
      </c>
      <c r="G20" s="50">
        <v>1.35</v>
      </c>
      <c r="H20" s="34">
        <v>1.68</v>
      </c>
      <c r="I20" s="6">
        <v>1.113</v>
      </c>
      <c r="J20" s="35">
        <v>1</v>
      </c>
      <c r="K20" s="6">
        <v>1.06</v>
      </c>
      <c r="L20" s="24">
        <f>ROUND(F20*G20*H20*I20*J20*K20,2)</f>
        <v>6170.26</v>
      </c>
      <c r="M20" s="5">
        <v>1</v>
      </c>
      <c r="N20" s="54">
        <f>ROUND(L20*M20,2)</f>
        <v>6170.26</v>
      </c>
      <c r="O20" s="7">
        <f>ROUND(33547738.9/E20,2)</f>
        <v>19258.169999999998</v>
      </c>
      <c r="P20" s="7">
        <f>ROUND(13528370.48/E20,2)</f>
        <v>7766</v>
      </c>
      <c r="Q20" s="8">
        <f>N20+O20+P20</f>
        <v>33194.43</v>
      </c>
    </row>
    <row r="21" spans="1:17" ht="31.95" customHeight="1" x14ac:dyDescent="0.25">
      <c r="A21" s="30">
        <v>11</v>
      </c>
      <c r="B21" s="10">
        <v>270065</v>
      </c>
      <c r="C21" s="11">
        <v>1340001</v>
      </c>
      <c r="D21" s="4" t="s">
        <v>17</v>
      </c>
      <c r="E21" s="39">
        <v>1826</v>
      </c>
      <c r="F21" s="46">
        <v>2306</v>
      </c>
      <c r="G21" s="50">
        <v>1.35</v>
      </c>
      <c r="H21" s="34">
        <v>2.23</v>
      </c>
      <c r="I21" s="6">
        <v>1.113</v>
      </c>
      <c r="J21" s="35">
        <v>1</v>
      </c>
      <c r="K21" s="6">
        <v>1.0900000000000001</v>
      </c>
      <c r="L21" s="24">
        <f t="shared" ref="L21:L22" si="6">ROUND(F21*G21*H21*I21*J21*K21,2)</f>
        <v>8422.08</v>
      </c>
      <c r="M21" s="5">
        <v>1</v>
      </c>
      <c r="N21" s="54">
        <f t="shared" ref="N21:N22" si="7">ROUND(L21*M21,2)</f>
        <v>8422.08</v>
      </c>
      <c r="O21" s="7">
        <f>ROUND(62779064.3/E21,2)</f>
        <v>34380.65</v>
      </c>
      <c r="P21" s="7">
        <f>ROUND(33886036.73/E21,2)</f>
        <v>18557.52</v>
      </c>
      <c r="Q21" s="8">
        <f t="shared" ref="Q21:Q22" si="8">N21+O21+P21</f>
        <v>61360.25</v>
      </c>
    </row>
    <row r="22" spans="1:17" ht="33.6" customHeight="1" x14ac:dyDescent="0.25">
      <c r="A22" s="30">
        <v>12</v>
      </c>
      <c r="B22" s="12">
        <v>270089</v>
      </c>
      <c r="C22" s="13">
        <v>1340012</v>
      </c>
      <c r="D22" s="4" t="s">
        <v>18</v>
      </c>
      <c r="E22" s="40">
        <v>5681</v>
      </c>
      <c r="F22" s="46">
        <v>2306</v>
      </c>
      <c r="G22" s="50">
        <v>1.35</v>
      </c>
      <c r="H22" s="34">
        <v>2.57</v>
      </c>
      <c r="I22" s="6">
        <v>1.113</v>
      </c>
      <c r="J22" s="35">
        <v>1</v>
      </c>
      <c r="K22" s="6">
        <v>0.97</v>
      </c>
      <c r="L22" s="24">
        <f t="shared" si="6"/>
        <v>8637.6</v>
      </c>
      <c r="M22" s="5">
        <v>1</v>
      </c>
      <c r="N22" s="54">
        <f t="shared" si="7"/>
        <v>8637.6</v>
      </c>
      <c r="O22" s="7">
        <f>ROUND(168702037.08/E22,2)</f>
        <v>29695.83</v>
      </c>
      <c r="P22" s="7">
        <f>ROUND(46029179.26/E22,2)</f>
        <v>8102.3</v>
      </c>
      <c r="Q22" s="8">
        <f t="shared" si="8"/>
        <v>46435.73</v>
      </c>
    </row>
  </sheetData>
  <mergeCells count="7">
    <mergeCell ref="H1:Q1"/>
    <mergeCell ref="G2:Q2"/>
    <mergeCell ref="A3:Q3"/>
    <mergeCell ref="A5:A6"/>
    <mergeCell ref="D5:D6"/>
    <mergeCell ref="F5:N5"/>
    <mergeCell ref="Q5:Q6"/>
  </mergeCells>
  <pageMargins left="0" right="0" top="0.51181102362204722" bottom="0.35433070866141736" header="0.31496062992125984" footer="0.31496062992125984"/>
  <pageSetup paperSize="9" scale="62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2024-02-06T06:14:10Z</dcterms:modified>
</cp:coreProperties>
</file>